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rmistonacademiestrust-my.sharepoint.com/personal/rebecca_fisher_ormistonacademies_co_uk/Documents/Documents/TBAP Academies/Commissioning_MICs/Childerley MIC/"/>
    </mc:Choice>
  </mc:AlternateContent>
  <xr:revisionPtr revIDLastSave="0" documentId="8_{2ADCA1C6-EB82-48D6-AC94-C655C14FA464}" xr6:coauthVersionLast="47" xr6:coauthVersionMax="47" xr10:uidLastSave="{00000000-0000-0000-0000-000000000000}"/>
  <bookViews>
    <workbookView xWindow="-110" yWindow="-110" windowWidth="19420" windowHeight="10420" xr2:uid="{6EC73E41-68F9-4963-BFBD-C11A1FA1DD8D}"/>
  </bookViews>
  <sheets>
    <sheet name="22-23 Budget" sheetId="1" r:id="rId1"/>
    <sheet name="Salaries 22-23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26" i="1"/>
  <c r="F24" i="1"/>
  <c r="F21" i="1"/>
  <c r="F17" i="1"/>
  <c r="F18" i="1" s="1"/>
  <c r="F16" i="1"/>
  <c r="K9" i="2"/>
  <c r="K13" i="2"/>
  <c r="K12" i="2"/>
  <c r="K8" i="2"/>
  <c r="K7" i="2"/>
  <c r="K6" i="2"/>
  <c r="K5" i="2"/>
  <c r="K4" i="2"/>
  <c r="E14" i="2"/>
  <c r="G13" i="2"/>
  <c r="G12" i="2"/>
  <c r="E12" i="2"/>
  <c r="G10" i="2"/>
  <c r="E10" i="2"/>
  <c r="I9" i="2"/>
  <c r="I12" i="2" s="1"/>
  <c r="I8" i="2"/>
  <c r="I7" i="2"/>
  <c r="I6" i="2"/>
  <c r="I5" i="2"/>
  <c r="E5" i="2"/>
  <c r="E13" i="2" s="1"/>
  <c r="I4" i="2"/>
  <c r="I10" i="2" s="1"/>
  <c r="F10" i="1"/>
  <c r="F11" i="1" s="1"/>
  <c r="F8" i="1"/>
  <c r="D26" i="1"/>
  <c r="D27" i="1" s="1"/>
  <c r="D18" i="1"/>
  <c r="D10" i="1"/>
  <c r="D8" i="1"/>
  <c r="F27" i="1" l="1"/>
  <c r="F29" i="1" s="1"/>
  <c r="F31" i="1" s="1"/>
  <c r="F35" i="1" s="1"/>
  <c r="K10" i="2"/>
  <c r="E15" i="2"/>
  <c r="I13" i="2"/>
  <c r="D11" i="1"/>
  <c r="D29" i="1"/>
  <c r="D31" i="1" s="1"/>
  <c r="D35" i="1" s="1"/>
</calcChain>
</file>

<file path=xl/sharedStrings.xml><?xml version="1.0" encoding="utf-8"?>
<sst xmlns="http://schemas.openxmlformats.org/spreadsheetml/2006/main" count="86" uniqueCount="80">
  <si>
    <t>Andi's Figures</t>
  </si>
  <si>
    <t>LA Funded Places</t>
  </si>
  <si>
    <t>LA Funding Rate</t>
  </si>
  <si>
    <t>School Bought</t>
  </si>
  <si>
    <t>School Cost Per Place</t>
  </si>
  <si>
    <t>Income</t>
  </si>
  <si>
    <t>LA funding</t>
  </si>
  <si>
    <t>Outreach</t>
  </si>
  <si>
    <t>Sold Places</t>
  </si>
  <si>
    <t>Total Income</t>
  </si>
  <si>
    <t>Expenditure</t>
  </si>
  <si>
    <t>Staffing</t>
  </si>
  <si>
    <t>Teaching Staff</t>
  </si>
  <si>
    <t>Educational Support Staff</t>
  </si>
  <si>
    <t>Other Costs</t>
  </si>
  <si>
    <t>Repairs &amp; Maintenance</t>
  </si>
  <si>
    <t>Other Occupational Costs</t>
  </si>
  <si>
    <t>Educational Supplies and Services</t>
  </si>
  <si>
    <t>Other Supplies and Services</t>
  </si>
  <si>
    <t>Staff Development</t>
  </si>
  <si>
    <t>Central Admin Services</t>
  </si>
  <si>
    <t>Total Other Costs</t>
  </si>
  <si>
    <t>Total Expenditure</t>
  </si>
  <si>
    <t>OAT London Schools - Childerley Budget</t>
  </si>
  <si>
    <t>Budget 21-22</t>
  </si>
  <si>
    <t>Budget 22-23</t>
  </si>
  <si>
    <t>Total Staffing</t>
  </si>
  <si>
    <t>Description</t>
  </si>
  <si>
    <t>Name</t>
  </si>
  <si>
    <t>Payroll</t>
  </si>
  <si>
    <t>Grade</t>
  </si>
  <si>
    <t>FTE</t>
  </si>
  <si>
    <t>TTO</t>
  </si>
  <si>
    <t>Annual Amount</t>
  </si>
  <si>
    <t xml:space="preserve">Notes </t>
  </si>
  <si>
    <t>21-22 Budget Cost</t>
  </si>
  <si>
    <t>Business Support Professional</t>
  </si>
  <si>
    <t>Germana Kerr</t>
  </si>
  <si>
    <t>E284132</t>
  </si>
  <si>
    <t>SP 21</t>
  </si>
  <si>
    <t>25% Shared across MIC &amp; ITP</t>
  </si>
  <si>
    <t>CEC Learning Support Professional</t>
  </si>
  <si>
    <t>Jacqueline Hutson</t>
  </si>
  <si>
    <t>E281088</t>
  </si>
  <si>
    <t>SP 26</t>
  </si>
  <si>
    <t>FA</t>
  </si>
  <si>
    <t>CEC Wave Leader</t>
  </si>
  <si>
    <t>Simon Miller</t>
  </si>
  <si>
    <t>E281089</t>
  </si>
  <si>
    <t>SP 30</t>
  </si>
  <si>
    <t>CEC Lead Teacher</t>
  </si>
  <si>
    <t>Patricia Fletcher</t>
  </si>
  <si>
    <t>E283220</t>
  </si>
  <si>
    <t>UPS 3 + TLR 2e</t>
  </si>
  <si>
    <t>n/a</t>
  </si>
  <si>
    <t>FA, LTLR2e</t>
  </si>
  <si>
    <t>CEC Unqualified Teacher</t>
  </si>
  <si>
    <t>Jennifer Williams</t>
  </si>
  <si>
    <t>E290419</t>
  </si>
  <si>
    <t>UNQ 6</t>
  </si>
  <si>
    <t>CEC  Main Pay Scale Teacher</t>
  </si>
  <si>
    <t>Natalie Wright</t>
  </si>
  <si>
    <t>E283221</t>
  </si>
  <si>
    <t>UPS 1 + TLR 2e</t>
  </si>
  <si>
    <t>20% CEC, 80% ITP</t>
  </si>
  <si>
    <t>Total Staff Cost</t>
  </si>
  <si>
    <t>Teachers</t>
  </si>
  <si>
    <t>LSP</t>
  </si>
  <si>
    <t>BSP</t>
  </si>
  <si>
    <t>Childerley MIC Staffing 22-23</t>
  </si>
  <si>
    <t>22-23 Budget Cost</t>
  </si>
  <si>
    <t>assumed 3% + increment to SCP 22</t>
  </si>
  <si>
    <t>assumed 3% + increment to SCP 27</t>
  </si>
  <si>
    <t>assumed 3% + increment to SCP 31</t>
  </si>
  <si>
    <t>assumed 3%</t>
  </si>
  <si>
    <t>assumed 3% + increment to UPS2</t>
  </si>
  <si>
    <r>
      <t>In-Year Surplus/</t>
    </r>
    <r>
      <rPr>
        <b/>
        <sz val="11"/>
        <color rgb="FFFF0000"/>
        <rFont val="Calibri"/>
        <family val="2"/>
        <scheme val="minor"/>
      </rPr>
      <t>Deficit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</si>
  <si>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Revised Surplus / </t>
    </r>
    <r>
      <rPr>
        <b/>
        <sz val="11"/>
        <color rgb="FFFF0000"/>
        <rFont val="Calibri"/>
        <family val="2"/>
      </rPr>
      <t>Deficit</t>
    </r>
  </si>
  <si>
    <t>Exclude 3% pay Award 21-22</t>
  </si>
  <si>
    <t>assumes 3% pay award in 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</si>
</sst>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_-&quot;£&quot;* #,##0_-;\-&quot;£&quot;* #,##0_-;_-&quot;£&quot;* &quot;-&quot;??_-;_-@_-"/>
    <numFmt numFmtId="167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rgb="FFA97CCA"/>
      </left>
      <right style="medium">
        <color rgb="FFA97CCA"/>
      </right>
      <top style="medium">
        <color rgb="FFA97CCA"/>
      </top>
      <bottom style="medium">
        <color rgb="FFA97CCA"/>
      </bottom>
      <diagonal/>
    </border>
    <border>
      <left style="medium">
        <color rgb="FFA97CCA"/>
      </left>
      <right style="medium">
        <color rgb="FFA97CCA"/>
      </right>
      <top style="medium">
        <color rgb="FFA97CCA"/>
      </top>
      <bottom/>
      <diagonal/>
    </border>
    <border>
      <left style="medium">
        <color rgb="FFA97CCA"/>
      </left>
      <right style="medium">
        <color rgb="FFA97CCA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wrapText="1"/>
      <protection hidden="1"/>
    </xf>
    <xf numFmtId="0" fontId="0" fillId="2" borderId="3" xfId="0" applyFill="1" applyBorder="1" applyProtection="1">
      <protection hidden="1"/>
    </xf>
    <xf numFmtId="164" fontId="4" fillId="2" borderId="3" xfId="0" applyNumberFormat="1" applyFont="1" applyFill="1" applyBorder="1" applyProtection="1">
      <protection hidden="1"/>
    </xf>
    <xf numFmtId="0" fontId="0" fillId="3" borderId="3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left"/>
      <protection hidden="1"/>
    </xf>
    <xf numFmtId="6" fontId="0" fillId="2" borderId="3" xfId="0" applyNumberFormat="1" applyFill="1" applyBorder="1" applyProtection="1">
      <protection hidden="1"/>
    </xf>
    <xf numFmtId="6" fontId="2" fillId="2" borderId="1" xfId="0" applyNumberFormat="1" applyFont="1" applyFill="1" applyBorder="1" applyProtection="1">
      <protection hidden="1"/>
    </xf>
    <xf numFmtId="0" fontId="0" fillId="2" borderId="3" xfId="0" applyFill="1" applyBorder="1"/>
    <xf numFmtId="164" fontId="0" fillId="2" borderId="3" xfId="1" applyNumberFormat="1" applyFont="1" applyFill="1" applyBorder="1"/>
    <xf numFmtId="165" fontId="0" fillId="2" borderId="3" xfId="0" applyNumberFormat="1" applyFill="1" applyBorder="1" applyProtection="1">
      <protection hidden="1"/>
    </xf>
    <xf numFmtId="6" fontId="6" fillId="2" borderId="1" xfId="0" applyNumberFormat="1" applyFont="1" applyFill="1" applyBorder="1" applyProtection="1">
      <protection hidden="1"/>
    </xf>
    <xf numFmtId="6" fontId="6" fillId="2" borderId="3" xfId="0" applyNumberFormat="1" applyFont="1" applyFill="1" applyBorder="1" applyProtection="1">
      <protection hidden="1"/>
    </xf>
    <xf numFmtId="164" fontId="4" fillId="2" borderId="3" xfId="0" applyNumberFormat="1" applyFont="1" applyFill="1" applyBorder="1"/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0" fillId="4" borderId="6" xfId="0" applyFill="1" applyBorder="1"/>
    <xf numFmtId="6" fontId="0" fillId="4" borderId="6" xfId="0" applyNumberFormat="1" applyFill="1" applyBorder="1"/>
    <xf numFmtId="6" fontId="0" fillId="4" borderId="3" xfId="0" applyNumberFormat="1" applyFill="1" applyBorder="1" applyProtection="1">
      <protection hidden="1"/>
    </xf>
    <xf numFmtId="0" fontId="7" fillId="5" borderId="0" xfId="0" applyFont="1" applyFill="1" applyAlignment="1" applyProtection="1">
      <alignment vertical="center"/>
      <protection hidden="1"/>
    </xf>
    <xf numFmtId="6" fontId="2" fillId="4" borderId="1" xfId="0" applyNumberFormat="1" applyFont="1" applyFill="1" applyBorder="1" applyProtection="1">
      <protection hidden="1"/>
    </xf>
    <xf numFmtId="0" fontId="8" fillId="0" borderId="0" xfId="0" applyFont="1"/>
    <xf numFmtId="0" fontId="0" fillId="0" borderId="0" xfId="0" applyAlignment="1">
      <alignment horizontal="center"/>
    </xf>
    <xf numFmtId="43" fontId="0" fillId="0" borderId="0" xfId="1" applyFont="1"/>
    <xf numFmtId="43" fontId="4" fillId="0" borderId="0" xfId="1" applyFont="1"/>
    <xf numFmtId="0" fontId="2" fillId="6" borderId="4" xfId="0" applyFont="1" applyFill="1" applyBorder="1" applyAlignment="1">
      <alignment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43" fontId="2" fillId="6" borderId="4" xfId="1" applyFont="1" applyFill="1" applyBorder="1" applyAlignment="1">
      <alignment vertical="center"/>
    </xf>
    <xf numFmtId="0" fontId="4" fillId="5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43" fontId="0" fillId="0" borderId="4" xfId="1" applyFont="1" applyBorder="1"/>
    <xf numFmtId="43" fontId="0" fillId="5" borderId="5" xfId="0" applyNumberForma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0" fontId="0" fillId="0" borderId="7" xfId="0" applyBorder="1"/>
    <xf numFmtId="43" fontId="0" fillId="5" borderId="6" xfId="0" applyNumberForma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6" fillId="7" borderId="4" xfId="0" applyFont="1" applyFill="1" applyBorder="1" applyAlignment="1">
      <alignment vertical="center"/>
    </xf>
    <xf numFmtId="2" fontId="6" fillId="7" borderId="7" xfId="1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43" fontId="6" fillId="7" borderId="4" xfId="1" applyFont="1" applyFill="1" applyBorder="1" applyAlignment="1">
      <alignment vertical="center"/>
    </xf>
    <xf numFmtId="0" fontId="9" fillId="7" borderId="4" xfId="0" applyFont="1" applyFill="1" applyBorder="1" applyAlignment="1">
      <alignment vertical="center"/>
    </xf>
    <xf numFmtId="43" fontId="10" fillId="5" borderId="4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0" xfId="0" applyFont="1" applyBorder="1" applyAlignment="1">
      <alignment horizontal="center"/>
    </xf>
    <xf numFmtId="167" fontId="0" fillId="4" borderId="6" xfId="1" applyNumberFormat="1" applyFont="1" applyFill="1" applyBorder="1"/>
    <xf numFmtId="0" fontId="4" fillId="8" borderId="0" xfId="0" applyFont="1" applyFill="1"/>
    <xf numFmtId="6" fontId="6" fillId="8" borderId="1" xfId="0" applyNumberFormat="1" applyFont="1" applyFill="1" applyBorder="1" applyProtection="1">
      <protection hidden="1"/>
    </xf>
    <xf numFmtId="6" fontId="6" fillId="4" borderId="1" xfId="0" applyNumberFormat="1" applyFont="1" applyFill="1" applyBorder="1" applyProtection="1">
      <protection hidden="1"/>
    </xf>
    <xf numFmtId="164" fontId="0" fillId="4" borderId="6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rebecca_fisher_ormistonacademies_co_uk/Documents/Documents/TBAP%20Academies/Budget%2021-22/TBAP%2021-22%20Budget%20Summary_Current%20Working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AP Consol Budget 21.22 "/>
      <sheetName val="Beachcroft Staffing 21-22"/>
      <sheetName val="Bridge Staffing 21-22"/>
      <sheetName val="Latimer Staffing 21-22"/>
      <sheetName val="Courtyard Staffing 21-22"/>
      <sheetName val="Head Office Staffing"/>
      <sheetName val="HO Budget"/>
      <sheetName val="MIC Staffing"/>
      <sheetName val="MIC Staff Analysis"/>
      <sheetName val="MIC Non Staffing"/>
      <sheetName val="Childerley Staffing"/>
      <sheetName val="Childerley Budget"/>
      <sheetName val="Child School Places 21-22"/>
      <sheetName val="Westminster Staffing"/>
      <sheetName val="Westminster Budget"/>
      <sheetName val="Golborne Staffing"/>
      <sheetName val="Golbourne Budget"/>
      <sheetName val="Gold School Places 21-22"/>
      <sheetName val="ITP Staffing"/>
      <sheetName val="ITP Budget"/>
      <sheetName val="TBAP BFR"/>
      <sheetName val="Detailed Consol Budget (2)"/>
      <sheetName val="Academy Key"/>
    </sheetNames>
    <sheetDataSet>
      <sheetData sheetId="0">
        <row r="218">
          <cell r="O218">
            <v>-42383.135988421091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K7">
            <v>9537.69</v>
          </cell>
        </row>
        <row r="16">
          <cell r="K16">
            <v>32999.769999999997</v>
          </cell>
        </row>
        <row r="17">
          <cell r="K17">
            <v>50286.46</v>
          </cell>
        </row>
        <row r="26">
          <cell r="K26">
            <v>80923.37</v>
          </cell>
        </row>
        <row r="32">
          <cell r="K32">
            <v>37948.449999999997</v>
          </cell>
        </row>
        <row r="34">
          <cell r="K34">
            <v>15666.188000000002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6840A-06A6-4080-83D8-41C90C0AC3BD}">
  <dimension ref="A1:G35"/>
  <sheetViews>
    <sheetView tabSelected="1" workbookViewId="0">
      <selection activeCell="J13" sqref="J13"/>
    </sheetView>
  </sheetViews>
  <sheetFormatPr defaultRowHeight="14.5" x14ac:dyDescent="0.35"/>
  <cols>
    <col min="1" max="1" width="12.81640625" customWidth="1"/>
    <col min="2" max="2" width="28.7265625" customWidth="1"/>
    <col min="3" max="3" width="18.1796875" customWidth="1"/>
    <col min="4" max="4" width="15.453125" customWidth="1"/>
    <col min="5" max="5" width="2.90625" customWidth="1"/>
    <col min="6" max="6" width="16.08984375" customWidth="1"/>
  </cols>
  <sheetData>
    <row r="1" spans="1:7" ht="37" x14ac:dyDescent="0.35">
      <c r="A1" s="23" t="s">
        <v>23</v>
      </c>
      <c r="B1" s="23"/>
      <c r="C1" s="23"/>
      <c r="D1" s="5" t="s">
        <v>24</v>
      </c>
      <c r="F1" s="19" t="s">
        <v>25</v>
      </c>
    </row>
    <row r="2" spans="1:7" ht="17.5" customHeight="1" x14ac:dyDescent="0.35">
      <c r="A2" s="4"/>
      <c r="B2" s="4"/>
      <c r="C2" s="1"/>
      <c r="D2" s="6"/>
      <c r="F2" s="20"/>
    </row>
    <row r="3" spans="1:7" x14ac:dyDescent="0.35">
      <c r="A3" s="2" t="s">
        <v>1</v>
      </c>
      <c r="B3" s="2"/>
      <c r="C3" s="1"/>
      <c r="D3" s="7">
        <v>25</v>
      </c>
      <c r="F3" s="20">
        <v>0</v>
      </c>
    </row>
    <row r="4" spans="1:7" x14ac:dyDescent="0.35">
      <c r="A4" s="2" t="s">
        <v>2</v>
      </c>
      <c r="B4" s="2"/>
      <c r="C4" s="1"/>
      <c r="D4" s="8">
        <v>6680</v>
      </c>
      <c r="F4" s="21">
        <v>0</v>
      </c>
    </row>
    <row r="5" spans="1:7" x14ac:dyDescent="0.35">
      <c r="A5" s="2" t="s">
        <v>3</v>
      </c>
      <c r="B5" s="2"/>
      <c r="C5" s="1"/>
      <c r="D5" s="9">
        <v>14</v>
      </c>
      <c r="F5" s="20">
        <v>25</v>
      </c>
    </row>
    <row r="6" spans="1:7" x14ac:dyDescent="0.35">
      <c r="A6" s="2" t="s">
        <v>4</v>
      </c>
      <c r="B6" s="2"/>
      <c r="C6" s="1"/>
      <c r="D6" s="8">
        <v>9000</v>
      </c>
      <c r="F6" s="21">
        <v>12500</v>
      </c>
    </row>
    <row r="7" spans="1:7" x14ac:dyDescent="0.35">
      <c r="A7" s="2" t="s">
        <v>5</v>
      </c>
      <c r="B7" s="2"/>
      <c r="C7" s="2"/>
      <c r="D7" s="10"/>
      <c r="F7" s="20"/>
    </row>
    <row r="8" spans="1:7" x14ac:dyDescent="0.35">
      <c r="A8" s="1"/>
      <c r="B8" s="3" t="s">
        <v>6</v>
      </c>
      <c r="C8" s="1"/>
      <c r="D8" s="11">
        <f>D3*D4</f>
        <v>167000</v>
      </c>
      <c r="F8" s="22">
        <f>F3*F4</f>
        <v>0</v>
      </c>
    </row>
    <row r="9" spans="1:7" x14ac:dyDescent="0.35">
      <c r="A9" s="1"/>
      <c r="B9" s="3" t="s">
        <v>7</v>
      </c>
      <c r="C9" s="1"/>
      <c r="D9" s="11">
        <v>0</v>
      </c>
      <c r="F9" s="22">
        <v>0</v>
      </c>
    </row>
    <row r="10" spans="1:7" ht="15" thickBot="1" x14ac:dyDescent="0.4">
      <c r="A10" s="1"/>
      <c r="B10" s="3" t="s">
        <v>8</v>
      </c>
      <c r="C10" s="1"/>
      <c r="D10" s="11">
        <f>D6*D5</f>
        <v>126000</v>
      </c>
      <c r="F10" s="22">
        <f>F6*F5</f>
        <v>312500</v>
      </c>
    </row>
    <row r="11" spans="1:7" ht="15" thickBot="1" x14ac:dyDescent="0.4">
      <c r="A11" s="1"/>
      <c r="B11" s="3" t="s">
        <v>9</v>
      </c>
      <c r="C11" s="1"/>
      <c r="D11" s="12">
        <f>SUM(D8:D10)</f>
        <v>293000</v>
      </c>
      <c r="F11" s="24">
        <f>SUM(F8:F10)</f>
        <v>312500</v>
      </c>
    </row>
    <row r="12" spans="1:7" x14ac:dyDescent="0.35">
      <c r="A12" s="1"/>
      <c r="B12" s="3"/>
      <c r="C12" s="1"/>
      <c r="D12" s="13"/>
      <c r="F12" s="20"/>
    </row>
    <row r="13" spans="1:7" x14ac:dyDescent="0.35">
      <c r="A13" s="2"/>
      <c r="B13" s="2"/>
      <c r="C13" s="1"/>
      <c r="D13" s="13"/>
      <c r="F13" s="20"/>
    </row>
    <row r="14" spans="1:7" x14ac:dyDescent="0.35">
      <c r="A14" s="2" t="s">
        <v>10</v>
      </c>
      <c r="B14" s="2"/>
      <c r="C14" s="1"/>
      <c r="D14" s="13"/>
      <c r="F14" s="20"/>
    </row>
    <row r="15" spans="1:7" x14ac:dyDescent="0.35">
      <c r="A15" s="2" t="s">
        <v>11</v>
      </c>
      <c r="B15" s="2"/>
      <c r="C15" s="1"/>
      <c r="D15" s="13"/>
      <c r="F15" s="20"/>
    </row>
    <row r="16" spans="1:7" x14ac:dyDescent="0.35">
      <c r="A16" s="1"/>
      <c r="B16" s="3" t="s">
        <v>12</v>
      </c>
      <c r="C16" s="1"/>
      <c r="D16" s="11">
        <v>134538</v>
      </c>
      <c r="F16" s="58">
        <f>SUM('Salaries 22-23'!K12)</f>
        <v>138914.14824000001</v>
      </c>
      <c r="G16" t="s">
        <v>79</v>
      </c>
    </row>
    <row r="17" spans="1:7" ht="15" thickBot="1" x14ac:dyDescent="0.4">
      <c r="A17" s="1"/>
      <c r="B17" s="3" t="s">
        <v>13</v>
      </c>
      <c r="C17" s="1"/>
      <c r="D17" s="11">
        <v>92824</v>
      </c>
      <c r="F17" s="58">
        <f>SUM('Salaries 22-23'!K13)</f>
        <v>97138.637599999987</v>
      </c>
      <c r="G17" t="s">
        <v>79</v>
      </c>
    </row>
    <row r="18" spans="1:7" ht="15" thickBot="1" x14ac:dyDescent="0.4">
      <c r="A18" s="1"/>
      <c r="B18" s="3" t="s">
        <v>26</v>
      </c>
      <c r="C18" s="1"/>
      <c r="D18" s="12">
        <f>SUM(D16:D17)</f>
        <v>227362</v>
      </c>
      <c r="F18" s="24">
        <f>SUM(F16:F17)</f>
        <v>236052.78584</v>
      </c>
    </row>
    <row r="19" spans="1:7" x14ac:dyDescent="0.35">
      <c r="A19" s="1"/>
      <c r="B19" s="3"/>
      <c r="C19" s="1"/>
      <c r="D19" s="13"/>
      <c r="F19" s="54"/>
    </row>
    <row r="20" spans="1:7" x14ac:dyDescent="0.35">
      <c r="A20" s="2" t="s">
        <v>14</v>
      </c>
      <c r="B20" s="2"/>
      <c r="C20" s="1"/>
      <c r="D20" s="13"/>
      <c r="F20" s="54"/>
    </row>
    <row r="21" spans="1:7" x14ac:dyDescent="0.35">
      <c r="A21" s="1"/>
      <c r="B21" s="3" t="s">
        <v>15</v>
      </c>
      <c r="C21" s="1"/>
      <c r="D21" s="11">
        <v>5000</v>
      </c>
      <c r="F21" s="58">
        <f>SUM(D21*103%)</f>
        <v>5150</v>
      </c>
    </row>
    <row r="22" spans="1:7" x14ac:dyDescent="0.35">
      <c r="A22" s="1"/>
      <c r="B22" s="3" t="s">
        <v>16</v>
      </c>
      <c r="C22" s="1"/>
      <c r="D22" s="11">
        <v>15063</v>
      </c>
      <c r="F22" s="58">
        <f>SUM(D22*103%)</f>
        <v>15514.890000000001</v>
      </c>
    </row>
    <row r="23" spans="1:7" x14ac:dyDescent="0.35">
      <c r="A23" s="1"/>
      <c r="B23" s="3" t="s">
        <v>17</v>
      </c>
      <c r="C23" s="1"/>
      <c r="D23" s="11">
        <v>2000</v>
      </c>
      <c r="F23" s="58">
        <v>2000</v>
      </c>
    </row>
    <row r="24" spans="1:7" x14ac:dyDescent="0.35">
      <c r="A24" s="1"/>
      <c r="B24" s="3" t="s">
        <v>18</v>
      </c>
      <c r="C24" s="1"/>
      <c r="D24" s="11">
        <v>4500</v>
      </c>
      <c r="F24" s="58">
        <f>SUM(D24*103%)</f>
        <v>4635</v>
      </c>
    </row>
    <row r="25" spans="1:7" x14ac:dyDescent="0.35">
      <c r="A25" s="1"/>
      <c r="B25" s="3" t="s">
        <v>19</v>
      </c>
      <c r="C25" s="1"/>
      <c r="D25" s="11">
        <v>2500</v>
      </c>
      <c r="F25" s="58">
        <v>2500</v>
      </c>
    </row>
    <row r="26" spans="1:7" ht="15" thickBot="1" x14ac:dyDescent="0.4">
      <c r="A26" s="1"/>
      <c r="B26" s="3" t="s">
        <v>20</v>
      </c>
      <c r="C26" s="1"/>
      <c r="D26" s="14">
        <f>-SUM('[1]TBAP Consol Budget 21.22 '!O218)</f>
        <v>42383.135988421091</v>
      </c>
      <c r="F26" s="58">
        <f>SUM(D26*103%)</f>
        <v>43654.630068073726</v>
      </c>
    </row>
    <row r="27" spans="1:7" ht="15" thickBot="1" x14ac:dyDescent="0.4">
      <c r="A27" s="1"/>
      <c r="B27" s="3" t="s">
        <v>21</v>
      </c>
      <c r="C27" s="1"/>
      <c r="D27" s="12">
        <f>SUM(D21:D26)</f>
        <v>71446.135988421098</v>
      </c>
      <c r="F27" s="24">
        <f>SUM(F21:F26)</f>
        <v>73454.520068073733</v>
      </c>
    </row>
    <row r="28" spans="1:7" ht="15" thickBot="1" x14ac:dyDescent="0.4">
      <c r="A28" s="1"/>
      <c r="B28" s="3"/>
      <c r="C28" s="1"/>
      <c r="D28" s="13"/>
      <c r="F28" s="54"/>
    </row>
    <row r="29" spans="1:7" ht="15" thickBot="1" x14ac:dyDescent="0.4">
      <c r="A29" s="1"/>
      <c r="B29" s="3" t="s">
        <v>22</v>
      </c>
      <c r="C29" s="1"/>
      <c r="D29" s="12">
        <f>D27+D18</f>
        <v>298808.1359884211</v>
      </c>
      <c r="F29" s="24">
        <f>F27+F18</f>
        <v>309507.30590807373</v>
      </c>
    </row>
    <row r="30" spans="1:7" ht="15" thickBot="1" x14ac:dyDescent="0.4">
      <c r="A30" s="1"/>
      <c r="B30" s="3"/>
      <c r="C30" s="1"/>
      <c r="D30" s="15"/>
      <c r="F30" s="20"/>
    </row>
    <row r="31" spans="1:7" ht="16" thickBot="1" x14ac:dyDescent="0.4">
      <c r="A31" s="3"/>
      <c r="B31" s="3" t="s">
        <v>76</v>
      </c>
      <c r="C31" s="3"/>
      <c r="D31" s="16">
        <f>D11-D29</f>
        <v>-5808.1359884210979</v>
      </c>
      <c r="F31" s="57">
        <f>F11-F29</f>
        <v>2992.6940919262706</v>
      </c>
    </row>
    <row r="32" spans="1:7" ht="15.5" x14ac:dyDescent="0.35">
      <c r="A32" s="3"/>
      <c r="B32" s="3"/>
      <c r="C32" s="3"/>
      <c r="D32" s="17"/>
      <c r="F32" s="20"/>
    </row>
    <row r="33" spans="1:6" x14ac:dyDescent="0.35">
      <c r="A33" s="1"/>
      <c r="B33" s="3" t="s">
        <v>78</v>
      </c>
      <c r="C33" s="1"/>
      <c r="D33" s="18">
        <v>3172</v>
      </c>
      <c r="F33" s="20">
        <v>0</v>
      </c>
    </row>
    <row r="34" spans="1:6" ht="15" thickBot="1" x14ac:dyDescent="0.4">
      <c r="D34" s="13"/>
      <c r="F34" s="20"/>
    </row>
    <row r="35" spans="1:6" ht="16" thickBot="1" x14ac:dyDescent="0.4">
      <c r="B35" s="55" t="s">
        <v>77</v>
      </c>
      <c r="D35" s="56">
        <f>D31+D33</f>
        <v>-2636.1359884210979</v>
      </c>
      <c r="F35" s="56">
        <f>F31+F33</f>
        <v>2992.6940919262706</v>
      </c>
    </row>
  </sheetData>
  <mergeCells count="9">
    <mergeCell ref="A13:B13"/>
    <mergeCell ref="A14:B14"/>
    <mergeCell ref="A15:B15"/>
    <mergeCell ref="A20:B20"/>
    <mergeCell ref="A3:B3"/>
    <mergeCell ref="A4:B4"/>
    <mergeCell ref="A5:B5"/>
    <mergeCell ref="A6:B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D6690-680F-437C-9F93-80DE1D4AD79A}">
  <dimension ref="A1:L15"/>
  <sheetViews>
    <sheetView topLeftCell="C4" workbookViewId="0">
      <selection activeCell="H20" sqref="H20"/>
    </sheetView>
  </sheetViews>
  <sheetFormatPr defaultRowHeight="14.5" x14ac:dyDescent="0.35"/>
  <cols>
    <col min="1" max="1" width="26.26953125" customWidth="1"/>
    <col min="2" max="2" width="20.81640625" customWidth="1"/>
    <col min="3" max="3" width="11.08984375" customWidth="1"/>
    <col min="4" max="4" width="14.90625" customWidth="1"/>
    <col min="5" max="5" width="15" customWidth="1"/>
    <col min="6" max="6" width="12.453125" customWidth="1"/>
    <col min="7" max="7" width="15.08984375" customWidth="1"/>
    <col min="8" max="8" width="26.26953125" customWidth="1"/>
    <col min="9" max="9" width="12" customWidth="1"/>
    <col min="11" max="11" width="12.7265625" customWidth="1"/>
  </cols>
  <sheetData>
    <row r="1" spans="1:12" ht="18.5" x14ac:dyDescent="0.45">
      <c r="A1" s="25" t="s">
        <v>69</v>
      </c>
      <c r="B1" s="25"/>
      <c r="C1" s="25"/>
      <c r="E1" s="26"/>
      <c r="F1" s="26"/>
      <c r="G1" s="27"/>
      <c r="I1" s="26"/>
    </row>
    <row r="2" spans="1:12" ht="18.5" x14ac:dyDescent="0.45">
      <c r="A2" s="25"/>
      <c r="B2" s="25"/>
      <c r="C2" s="25"/>
      <c r="E2" s="26"/>
      <c r="F2" s="26"/>
      <c r="G2" s="28" t="s">
        <v>0</v>
      </c>
      <c r="I2" s="26"/>
    </row>
    <row r="3" spans="1:12" ht="29" x14ac:dyDescent="0.35">
      <c r="A3" s="29" t="s">
        <v>27</v>
      </c>
      <c r="B3" s="29" t="s">
        <v>28</v>
      </c>
      <c r="C3" s="29" t="s">
        <v>29</v>
      </c>
      <c r="D3" s="29" t="s">
        <v>30</v>
      </c>
      <c r="E3" s="30" t="s">
        <v>31</v>
      </c>
      <c r="F3" s="31" t="s">
        <v>32</v>
      </c>
      <c r="G3" s="32" t="s">
        <v>33</v>
      </c>
      <c r="H3" s="29" t="s">
        <v>34</v>
      </c>
      <c r="I3" s="33" t="s">
        <v>35</v>
      </c>
      <c r="K3" s="33" t="s">
        <v>70</v>
      </c>
    </row>
    <row r="4" spans="1:12" x14ac:dyDescent="0.35">
      <c r="A4" s="34" t="s">
        <v>36</v>
      </c>
      <c r="B4" s="35" t="s">
        <v>37</v>
      </c>
      <c r="C4" t="s">
        <v>38</v>
      </c>
      <c r="D4" s="34" t="s">
        <v>39</v>
      </c>
      <c r="E4" s="36">
        <v>0.25</v>
      </c>
      <c r="F4" s="37">
        <v>46.819000000000003</v>
      </c>
      <c r="G4" s="38">
        <v>9320.0962499999969</v>
      </c>
      <c r="H4" s="34" t="s">
        <v>40</v>
      </c>
      <c r="I4" s="39">
        <f>SUM('[1]MIC Staffing'!K7)</f>
        <v>9537.69</v>
      </c>
      <c r="K4" s="39">
        <f>SUM(I4*103%)+600/4</f>
        <v>9973.8207000000002</v>
      </c>
      <c r="L4" t="s">
        <v>71</v>
      </c>
    </row>
    <row r="5" spans="1:12" x14ac:dyDescent="0.35">
      <c r="A5" s="34" t="s">
        <v>41</v>
      </c>
      <c r="B5" s="40" t="s">
        <v>42</v>
      </c>
      <c r="C5" s="41" t="s">
        <v>43</v>
      </c>
      <c r="D5" s="34" t="s">
        <v>44</v>
      </c>
      <c r="E5" s="36">
        <f>28.8/36</f>
        <v>0.8</v>
      </c>
      <c r="F5" s="37">
        <v>46.290999999999997</v>
      </c>
      <c r="G5" s="38">
        <v>32321.324999999993</v>
      </c>
      <c r="H5" t="s">
        <v>45</v>
      </c>
      <c r="I5" s="42">
        <f>SUM('[1]MIC Staffing'!K16)</f>
        <v>32999.769999999997</v>
      </c>
      <c r="K5" s="42">
        <f>SUM(I5*103%)+600/5*4</f>
        <v>34469.763099999996</v>
      </c>
      <c r="L5" t="s">
        <v>72</v>
      </c>
    </row>
    <row r="6" spans="1:12" x14ac:dyDescent="0.35">
      <c r="A6" s="34" t="s">
        <v>46</v>
      </c>
      <c r="B6" s="43" t="s">
        <v>47</v>
      </c>
      <c r="C6" t="s">
        <v>48</v>
      </c>
      <c r="D6" s="34" t="s">
        <v>49</v>
      </c>
      <c r="E6" s="36">
        <v>1</v>
      </c>
      <c r="F6" s="37">
        <v>52.14</v>
      </c>
      <c r="G6" s="38">
        <v>49117.29</v>
      </c>
      <c r="H6" s="34"/>
      <c r="I6" s="42">
        <f>SUM('[1]MIC Staffing'!K17)</f>
        <v>50286.46</v>
      </c>
      <c r="K6" s="42">
        <f>SUM(I6*103%)+900</f>
        <v>52695.053800000002</v>
      </c>
      <c r="L6" t="s">
        <v>73</v>
      </c>
    </row>
    <row r="7" spans="1:12" x14ac:dyDescent="0.35">
      <c r="A7" s="34" t="s">
        <v>50</v>
      </c>
      <c r="B7" s="40" t="s">
        <v>51</v>
      </c>
      <c r="C7" s="41" t="s">
        <v>52</v>
      </c>
      <c r="D7" s="34" t="s">
        <v>53</v>
      </c>
      <c r="E7" s="36">
        <v>1</v>
      </c>
      <c r="F7" s="44" t="s">
        <v>54</v>
      </c>
      <c r="G7" s="38">
        <v>78706.590000000011</v>
      </c>
      <c r="H7" t="s">
        <v>55</v>
      </c>
      <c r="I7" s="42">
        <f>SUM('[1]MIC Staffing'!K26)</f>
        <v>80923.37</v>
      </c>
      <c r="K7" s="42">
        <f>SUM(I7*103%)</f>
        <v>83351.071100000001</v>
      </c>
      <c r="L7" t="s">
        <v>74</v>
      </c>
    </row>
    <row r="8" spans="1:12" x14ac:dyDescent="0.35">
      <c r="A8" s="34" t="s">
        <v>56</v>
      </c>
      <c r="B8" s="35" t="s">
        <v>57</v>
      </c>
      <c r="C8" t="s">
        <v>58</v>
      </c>
      <c r="D8" s="34" t="s">
        <v>59</v>
      </c>
      <c r="E8" s="36">
        <v>1</v>
      </c>
      <c r="F8" s="44" t="s">
        <v>54</v>
      </c>
      <c r="G8" s="38">
        <v>36256.770000000004</v>
      </c>
      <c r="H8" s="34"/>
      <c r="I8" s="42">
        <f>SUM('[1]MIC Staffing'!K32)</f>
        <v>37948.449999999997</v>
      </c>
      <c r="K8" s="42">
        <f>SUM(I8*103%)</f>
        <v>39086.9035</v>
      </c>
      <c r="L8" t="s">
        <v>74</v>
      </c>
    </row>
    <row r="9" spans="1:12" x14ac:dyDescent="0.35">
      <c r="A9" s="34" t="s">
        <v>60</v>
      </c>
      <c r="B9" s="40" t="s">
        <v>61</v>
      </c>
      <c r="C9" s="41" t="s">
        <v>62</v>
      </c>
      <c r="D9" s="34" t="s">
        <v>63</v>
      </c>
      <c r="E9" s="36">
        <v>0.2</v>
      </c>
      <c r="F9" s="44" t="s">
        <v>54</v>
      </c>
      <c r="G9" s="38">
        <v>14174.858999999999</v>
      </c>
      <c r="H9" s="34" t="s">
        <v>64</v>
      </c>
      <c r="I9" s="42">
        <f>SUM('[1]MIC Staffing'!K34)</f>
        <v>15666.188000000002</v>
      </c>
      <c r="K9" s="42">
        <f>SUM(I9*103%)+1700/5*1</f>
        <v>16476.173640000001</v>
      </c>
      <c r="L9" t="s">
        <v>75</v>
      </c>
    </row>
    <row r="10" spans="1:12" ht="15.5" x14ac:dyDescent="0.35">
      <c r="A10" s="45" t="s">
        <v>65</v>
      </c>
      <c r="B10" s="45"/>
      <c r="C10" s="45"/>
      <c r="D10" s="45"/>
      <c r="E10" s="46">
        <f>SUM(E4:E9)</f>
        <v>4.25</v>
      </c>
      <c r="F10" s="47"/>
      <c r="G10" s="48">
        <f>SUM(G4:G9)</f>
        <v>219896.93025000003</v>
      </c>
      <c r="H10" s="49"/>
      <c r="I10" s="50">
        <f>SUM(I4:I9)</f>
        <v>227361.92799999999</v>
      </c>
      <c r="K10" s="50">
        <f>SUM(K4:K9)</f>
        <v>236052.78583999997</v>
      </c>
    </row>
    <row r="11" spans="1:12" x14ac:dyDescent="0.35">
      <c r="E11" s="26"/>
      <c r="F11" s="26"/>
      <c r="G11" s="27"/>
      <c r="I11" s="26"/>
    </row>
    <row r="12" spans="1:12" x14ac:dyDescent="0.35">
      <c r="D12" s="51" t="s">
        <v>66</v>
      </c>
      <c r="E12" s="26">
        <f>SUM(E7+E8+E9)</f>
        <v>2.2000000000000002</v>
      </c>
      <c r="F12" s="26"/>
      <c r="G12" s="27">
        <f>SUM(G9+G8+G7)</f>
        <v>129138.21900000001</v>
      </c>
      <c r="H12" s="52" t="s">
        <v>12</v>
      </c>
      <c r="I12" s="27">
        <f>SUM(I9+I8+I7)</f>
        <v>134538.008</v>
      </c>
      <c r="K12" s="27">
        <f>SUM(K9+K8+K7)</f>
        <v>138914.14824000001</v>
      </c>
    </row>
    <row r="13" spans="1:12" x14ac:dyDescent="0.35">
      <c r="D13" s="51" t="s">
        <v>67</v>
      </c>
      <c r="E13" s="26">
        <f>SUM(E5+E6)</f>
        <v>1.8</v>
      </c>
      <c r="F13" s="26"/>
      <c r="G13" s="27">
        <f>SUM(G4+G5+G6)</f>
        <v>90758.711249999993</v>
      </c>
      <c r="H13" s="52" t="s">
        <v>13</v>
      </c>
      <c r="I13" s="27">
        <f>SUM(I4+I5+I6)</f>
        <v>92823.92</v>
      </c>
      <c r="K13" s="27">
        <f>SUM(K4+K5+K6)</f>
        <v>97138.637599999987</v>
      </c>
    </row>
    <row r="14" spans="1:12" x14ac:dyDescent="0.35">
      <c r="D14" s="51" t="s">
        <v>68</v>
      </c>
      <c r="E14" s="26">
        <f>SUM(E4)</f>
        <v>0.25</v>
      </c>
      <c r="F14" s="26"/>
      <c r="G14" s="27"/>
      <c r="I14" s="26"/>
    </row>
    <row r="15" spans="1:12" x14ac:dyDescent="0.35">
      <c r="E15" s="53">
        <f>SUM(E12:E14)</f>
        <v>4.25</v>
      </c>
      <c r="F15" s="26"/>
      <c r="G15" s="27"/>
      <c r="I1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Budget</vt:lpstr>
      <vt:lpstr>Salaries 22-23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Fisher</dc:creator>
  <cp:lastModifiedBy>Rebecca Fisher</cp:lastModifiedBy>
  <dcterms:created xsi:type="dcterms:W3CDTF">2021-11-12T10:55:07Z</dcterms:created>
  <dcterms:modified xsi:type="dcterms:W3CDTF">2021-11-12T11:26:26Z</dcterms:modified>
</cp:coreProperties>
</file>